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560" windowWidth="22980" windowHeight="12768"/>
  </bookViews>
  <sheets>
    <sheet name="TKL" sheetId="2" r:id="rId1"/>
    <sheet name="data" sheetId="1" r:id="rId2"/>
    <sheet name="Sheet3" sheetId="3" r:id="rId3"/>
  </sheets>
  <definedNames>
    <definedName name="_xlnm._FilterDatabase" localSheetId="1" hidden="1">data!$A$1:$D$123</definedName>
  </definedNames>
  <calcPr calcId="125725"/>
</workbook>
</file>

<file path=xl/calcChain.xml><?xml version="1.0" encoding="utf-8"?>
<calcChain xmlns="http://schemas.openxmlformats.org/spreadsheetml/2006/main">
  <c r="M18" i="2" a="1"/>
  <c r="M18" s="1"/>
  <c r="M17" a="1"/>
  <c r="M17" s="1"/>
  <c r="M15" a="1"/>
  <c r="M15" s="1"/>
  <c r="M14" a="1"/>
  <c r="M14" s="1"/>
  <c r="M12" a="1"/>
  <c r="M12" s="1"/>
  <c r="M11" a="1"/>
  <c r="M11" s="1"/>
  <c r="I18" a="1"/>
  <c r="I18" s="1"/>
  <c r="I17" a="1"/>
  <c r="I17" s="1"/>
  <c r="I15" a="1"/>
  <c r="I15" s="1"/>
  <c r="I14" a="1"/>
  <c r="I14" s="1"/>
  <c r="I12" a="1"/>
  <c r="I12" s="1"/>
  <c r="I11" a="1"/>
  <c r="I11" s="1"/>
  <c r="G18" a="1"/>
  <c r="G18" s="1"/>
  <c r="G17" a="1"/>
  <c r="G17" s="1"/>
  <c r="G15" a="1"/>
  <c r="G15" s="1"/>
  <c r="G14" a="1"/>
  <c r="G14" s="1"/>
  <c r="G12" a="1"/>
  <c r="G12" s="1"/>
  <c r="G11" a="1"/>
  <c r="G11" s="1"/>
  <c r="E18" a="1"/>
  <c r="E18" s="1"/>
  <c r="E17" a="1"/>
  <c r="E17" s="1"/>
  <c r="E15" a="1"/>
  <c r="E15" s="1"/>
  <c r="E14" a="1"/>
  <c r="E14" s="1"/>
  <c r="E12" a="1"/>
  <c r="E12" s="1"/>
  <c r="E11" a="1"/>
  <c r="E11" s="1"/>
  <c r="C18" a="1"/>
  <c r="C18" s="1"/>
  <c r="C17" a="1"/>
  <c r="C17" s="1"/>
  <c r="C15" a="1"/>
  <c r="C15" s="1"/>
  <c r="C14" a="1"/>
  <c r="C14" s="1"/>
  <c r="C12" a="1"/>
  <c r="C12" s="1"/>
  <c r="C11" a="1"/>
  <c r="C11" s="1"/>
  <c r="B4"/>
  <c r="E20" l="1"/>
  <c r="I20"/>
  <c r="M20"/>
  <c r="C20"/>
  <c r="G20"/>
  <c r="K18"/>
  <c r="K17"/>
  <c r="K15"/>
  <c r="K14"/>
  <c r="K12"/>
  <c r="K11"/>
  <c r="K20" l="1"/>
  <c r="L18" s="1"/>
  <c r="F20" l="1"/>
  <c r="H20"/>
  <c r="L17"/>
  <c r="L14"/>
  <c r="L11"/>
  <c r="J20"/>
  <c r="L12"/>
  <c r="N17"/>
  <c r="N14"/>
  <c r="J17"/>
  <c r="J14"/>
  <c r="J11"/>
  <c r="H12"/>
  <c r="H15"/>
  <c r="H18"/>
  <c r="F11"/>
  <c r="N12"/>
  <c r="D15"/>
  <c r="H17"/>
  <c r="N18"/>
  <c r="H11"/>
  <c r="J12"/>
  <c r="N15"/>
  <c r="D11"/>
  <c r="D14"/>
  <c r="D17"/>
  <c r="N11"/>
  <c r="F14"/>
  <c r="J15"/>
  <c r="D18"/>
  <c r="J18"/>
  <c r="D12"/>
  <c r="H14"/>
  <c r="F17"/>
  <c r="F12"/>
  <c r="F15"/>
  <c r="F18"/>
  <c r="D20"/>
  <c r="L15"/>
  <c r="L20" l="1"/>
  <c r="N20"/>
</calcChain>
</file>

<file path=xl/sharedStrings.xml><?xml version="1.0" encoding="utf-8"?>
<sst xmlns="http://schemas.openxmlformats.org/spreadsheetml/2006/main" count="379" uniqueCount="25">
  <si>
    <t>Age Class</t>
  </si>
  <si>
    <t>Pine Density</t>
  </si>
  <si>
    <t>MPB Attack Severity</t>
  </si>
  <si>
    <t>Sum Of area_ha</t>
  </si>
  <si>
    <t>&gt;60 years</t>
  </si>
  <si>
    <t>&gt;70%</t>
  </si>
  <si>
    <t>Light (&lt;11%)</t>
  </si>
  <si>
    <t>Moderate (11-30%)</t>
  </si>
  <si>
    <t>No Attack</t>
  </si>
  <si>
    <t>Severe (31-50%)</t>
  </si>
  <si>
    <t>Very Severe (&gt;50%)</t>
  </si>
  <si>
    <t>30-70%</t>
  </si>
  <si>
    <t>21-40 years</t>
  </si>
  <si>
    <t>41-60 years</t>
  </si>
  <si>
    <t>Area (ha) of MPB Attack Severity by Age Class and Density within Pine Stands (Pine Species &gt;= 30% density - The Pine Mask)</t>
  </si>
  <si>
    <t>TSA Area</t>
  </si>
  <si>
    <t>Area (ha)</t>
  </si>
  <si>
    <t>Percent of all Pine (Pine Mask)</t>
  </si>
  <si>
    <t>All Severity</t>
  </si>
  <si>
    <t>Total Area of Attack (ha)</t>
  </si>
  <si>
    <t>Total</t>
  </si>
  <si>
    <t>MPB Attack as a percentage of Pine affected within the VRI Stand</t>
  </si>
  <si>
    <t>TKL - 2011 MPB Update</t>
  </si>
  <si>
    <t>&lt;21 years</t>
  </si>
  <si>
    <t>Pine Mask Unharvested Area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</si>
</sst>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3" fillId="0" borderId="18" xfId="0" applyFont="1" applyBorder="1" applyAlignment="1">
      <alignment horizontal="right"/>
    </xf>
    <xf numFmtId="0" fontId="5" fillId="0" borderId="19" xfId="0" applyFont="1" applyBorder="1"/>
    <xf numFmtId="165" fontId="5" fillId="0" borderId="6" xfId="0" applyNumberFormat="1" applyFont="1" applyBorder="1" applyAlignment="1">
      <alignment vertical="center"/>
    </xf>
    <xf numFmtId="165" fontId="5" fillId="0" borderId="20" xfId="0" applyNumberFormat="1" applyFont="1" applyBorder="1"/>
    <xf numFmtId="165" fontId="5" fillId="0" borderId="1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4" fontId="3" fillId="0" borderId="19" xfId="0" applyNumberFormat="1" applyFont="1" applyBorder="1"/>
    <xf numFmtId="0" fontId="3" fillId="0" borderId="21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center"/>
    </xf>
    <xf numFmtId="165" fontId="5" fillId="0" borderId="8" xfId="0" applyNumberFormat="1" applyFont="1" applyBorder="1"/>
    <xf numFmtId="164" fontId="5" fillId="0" borderId="12" xfId="0" applyNumberFormat="1" applyFont="1" applyBorder="1" applyAlignment="1">
      <alignment vertical="center"/>
    </xf>
    <xf numFmtId="164" fontId="3" fillId="0" borderId="18" xfId="0" applyNumberFormat="1" applyFont="1" applyBorder="1"/>
    <xf numFmtId="3" fontId="3" fillId="0" borderId="0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</cellXfs>
  <cellStyles count="2">
    <cellStyle name="Normal" xfId="0" builtinId="0"/>
    <cellStyle name="Normal_data" xfId="1"/>
  </cellStyles>
  <dxfs count="0"/>
  <tableStyles count="0" defaultTableStyle="TableStyleMedium9" defaultPivotStyle="PivotStyleLight16"/>
  <colors>
    <mruColors>
      <color rgb="FF99CC00"/>
      <color rgb="FFFF6600"/>
      <color rgb="FFFFCC00"/>
      <color rgb="FFFFCC99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6"/>
  <sheetViews>
    <sheetView tabSelected="1" workbookViewId="0">
      <selection activeCell="A22" sqref="A22"/>
    </sheetView>
  </sheetViews>
  <sheetFormatPr defaultRowHeight="14.4"/>
  <cols>
    <col min="1" max="1" width="24.77734375" customWidth="1"/>
    <col min="2" max="2" width="11.109375" customWidth="1"/>
    <col min="3" max="3" width="11.44140625" bestFit="1" customWidth="1"/>
    <col min="4" max="4" width="10.88671875" customWidth="1"/>
    <col min="6" max="6" width="10.88671875" customWidth="1"/>
    <col min="8" max="8" width="10.88671875" customWidth="1"/>
    <col min="10" max="12" width="10.88671875" customWidth="1"/>
    <col min="14" max="14" width="10.88671875" customWidth="1"/>
  </cols>
  <sheetData>
    <row r="1" spans="1:33" ht="15.6">
      <c r="A1" s="2" t="s">
        <v>22</v>
      </c>
    </row>
    <row r="2" spans="1:33" ht="15.6">
      <c r="A2" s="2" t="s">
        <v>14</v>
      </c>
    </row>
    <row r="3" spans="1:33">
      <c r="A3" s="1" t="s">
        <v>15</v>
      </c>
      <c r="B3" s="33">
        <v>1240841.1759033399</v>
      </c>
    </row>
    <row r="4" spans="1:33">
      <c r="A4" s="1" t="s">
        <v>24</v>
      </c>
      <c r="B4" s="33">
        <f>SUM(data!D2:D200)</f>
        <v>157093.09788177416</v>
      </c>
    </row>
    <row r="5" spans="1:33">
      <c r="A5" s="1"/>
      <c r="B5" s="6"/>
    </row>
    <row r="6" spans="1:33" ht="15.6">
      <c r="A6" s="2" t="s">
        <v>21</v>
      </c>
      <c r="B6" s="6"/>
    </row>
    <row r="7" spans="1:33" ht="1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" thickBot="1">
      <c r="A8" s="34" t="s">
        <v>2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6"/>
      <c r="N8" s="37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>
      <c r="A9" s="38"/>
      <c r="B9" s="39"/>
      <c r="C9" s="46" t="s">
        <v>6</v>
      </c>
      <c r="D9" s="46"/>
      <c r="E9" s="47" t="s">
        <v>7</v>
      </c>
      <c r="F9" s="47"/>
      <c r="G9" s="48" t="s">
        <v>9</v>
      </c>
      <c r="H9" s="48"/>
      <c r="I9" s="49" t="s">
        <v>10</v>
      </c>
      <c r="J9" s="49"/>
      <c r="K9" s="39" t="s">
        <v>18</v>
      </c>
      <c r="L9" s="43"/>
      <c r="M9" s="44" t="s">
        <v>8</v>
      </c>
      <c r="N9" s="45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3" customFormat="1" ht="50.4" customHeight="1">
      <c r="A10" s="14" t="s">
        <v>0</v>
      </c>
      <c r="B10" s="12" t="s">
        <v>1</v>
      </c>
      <c r="C10" s="12" t="s">
        <v>16</v>
      </c>
      <c r="D10" s="13" t="s">
        <v>17</v>
      </c>
      <c r="E10" s="12" t="s">
        <v>16</v>
      </c>
      <c r="F10" s="13" t="s">
        <v>17</v>
      </c>
      <c r="G10" s="12" t="s">
        <v>16</v>
      </c>
      <c r="H10" s="13" t="s">
        <v>17</v>
      </c>
      <c r="I10" s="12" t="s">
        <v>16</v>
      </c>
      <c r="J10" s="13" t="s">
        <v>17</v>
      </c>
      <c r="K10" s="13" t="s">
        <v>19</v>
      </c>
      <c r="L10" s="28" t="s">
        <v>17</v>
      </c>
      <c r="M10" s="14" t="s">
        <v>16</v>
      </c>
      <c r="N10" s="15" t="s">
        <v>17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" customFormat="1">
      <c r="A11" s="40" t="s">
        <v>12</v>
      </c>
      <c r="B11" s="9" t="s">
        <v>11</v>
      </c>
      <c r="C11" s="10">
        <f t="array" ref="C11">SUM(IF(data!A2:A200="21-40 years",IF(data!B2:B200="30-70%",IF(data!C2:C200="Light (&lt;11%)",data!D2:D200,0),0),0))</f>
        <v>814.89157241860505</v>
      </c>
      <c r="D11" s="23">
        <f>C11/($K$20+$M$20)</f>
        <v>5.5245722856273683E-3</v>
      </c>
      <c r="E11" s="10">
        <f t="array" ref="E11">SUM(IF(data!A2:A200="21-40 years",IF(data!B2:B200="30-70%",IF(data!C2:C200="Moderate (11-30%)",data!D2:D200,0),0),0))</f>
        <v>423.59697520149416</v>
      </c>
      <c r="F11" s="23">
        <f>E11/($K$20+$M$20)</f>
        <v>2.8717834233185752E-3</v>
      </c>
      <c r="G11" s="10">
        <f t="array" ref="G11">SUM(IF(data!A2:A200="21-40 years",IF(data!B2:B200="30-70%",IF(data!C2:C200="Severe (31-50%)",data!D2:D200,0),0),0))</f>
        <v>139.96329914811255</v>
      </c>
      <c r="H11" s="23">
        <f>G11/($K$20+$M$20)</f>
        <v>9.4888374067197718E-4</v>
      </c>
      <c r="I11" s="10">
        <f t="array" ref="I11">SUM(IF(data!A2:A200="21-40 years",IF(data!B2:B200="30-70%",IF(data!C2:C200="Very Severe (&gt;50%)",data!D2:D200,0),0),0))</f>
        <v>107.13614201225312</v>
      </c>
      <c r="J11" s="23">
        <f>I11/($K$20+$M$20)</f>
        <v>7.263314298284159E-4</v>
      </c>
      <c r="K11" s="11">
        <f>SUM(C11,E11,G11,I11)</f>
        <v>1485.5879887804649</v>
      </c>
      <c r="L11" s="29">
        <f>K11/($K$20+$M$20)</f>
        <v>1.0071570879446337E-2</v>
      </c>
      <c r="M11" s="31">
        <f t="array" ref="M11">SUM(IF(data!A2:A200="21-40 years",IF(data!B2:B200="30-70%",IF(data!C2:C200="No Attack",data!D2:D200,0),0),0))</f>
        <v>3289.3907355202741</v>
      </c>
      <c r="N11" s="25">
        <f>M11/($K$20+$M$20)</f>
        <v>2.230048451736796E-2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8" customFormat="1">
      <c r="A12" s="41"/>
      <c r="B12" s="9" t="s">
        <v>5</v>
      </c>
      <c r="C12" s="10">
        <f t="array" ref="C12">SUM(IF(data!A2:A200="21-40 years",IF(data!B2:B200="&gt;70%",IF(data!C2:C200="Light (&lt;11%)",data!D2:D200,0),0),0))</f>
        <v>378.17815834806493</v>
      </c>
      <c r="D12" s="23">
        <f>C12/($K$20+$M$20)</f>
        <v>2.5638657256429088E-3</v>
      </c>
      <c r="E12" s="10">
        <f t="array" ref="E12">SUM(IF(data!A2:A200="21-40 years",IF(data!B2:B200="&gt;70%",IF(data!C2:C200="Moderate (11-30%)",data!D2:D200,0),0),0))</f>
        <v>332.82167308612816</v>
      </c>
      <c r="F12" s="23">
        <f>E12/($K$20+$M$20)</f>
        <v>2.2563706061292138E-3</v>
      </c>
      <c r="G12" s="10">
        <f t="array" ref="G12">SUM(IF(data!A2:A200="21-40 years",IF(data!B2:B200="&gt;70%",IF(data!C2:C200="Severe (31-50%)",data!D2:D200,0),0),0))</f>
        <v>64.800032760484811</v>
      </c>
      <c r="H12" s="23">
        <f>G12/($K$20+$M$20)</f>
        <v>4.3931300459249477E-4</v>
      </c>
      <c r="I12" s="10">
        <f t="array" ref="I12">SUM(IF(data!A2:A200="21-40 years",IF(data!B2:B200="&gt;70%",IF(data!C2:C200="Very Severe (&gt;50%)",data!D2:D200,0),0),0))</f>
        <v>50.059642623407427</v>
      </c>
      <c r="J12" s="23">
        <f>I12/($K$20+$M$20)</f>
        <v>3.3938026067058274E-4</v>
      </c>
      <c r="K12" s="11">
        <f>SUM(C12,E12,G12,I12)</f>
        <v>825.85950681808526</v>
      </c>
      <c r="L12" s="29">
        <f>K12/($K$20+$M$20)</f>
        <v>5.5989295970351998E-3</v>
      </c>
      <c r="M12" s="31">
        <f t="array" ref="M12">SUM(IF(data!A2:A200="21-40 years",IF(data!B2:B200="&gt;70%",IF(data!C2:C200="No Attack",data!D2:D200,0),0),0))</f>
        <v>2748.8214242625895</v>
      </c>
      <c r="N12" s="25">
        <f>M12/($K$20+$M$20)</f>
        <v>1.8635685007205919E-2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8" customFormat="1" ht="4.05" customHeight="1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6"/>
      <c r="N13" s="1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8" customFormat="1">
      <c r="A14" s="42" t="s">
        <v>13</v>
      </c>
      <c r="B14" s="9" t="s">
        <v>11</v>
      </c>
      <c r="C14" s="10">
        <f t="array" ref="C14">SUM(IF(data!A2:A200="41-60 years",IF(data!B2:B200="30-70%",IF(data!C2:C200="Light (&lt;11%)",data!D2:D200,0),0),0))</f>
        <v>447.95746804291599</v>
      </c>
      <c r="D14" s="23">
        <f>C14/($K$20+$M$20)</f>
        <v>3.0369358290754599E-3</v>
      </c>
      <c r="E14" s="10">
        <f t="array" ref="E14">SUM(IF(data!A2:A200="41-60 years",IF(data!B2:B200="30-70%",IF(data!C2:C200="Moderate (11-30%)",data!D2:D200,0),0),0))</f>
        <v>469.45992469187212</v>
      </c>
      <c r="F14" s="23">
        <f>E14/($K$20+$M$20)</f>
        <v>3.1827121263111172E-3</v>
      </c>
      <c r="G14" s="10">
        <f t="array" ref="G14">SUM(IF(data!A2:A200="41-60 years",IF(data!B2:B200="30-70%",IF(data!C2:C200="Severe (31-50%)",data!D2:D200,0),0),0))</f>
        <v>188.15492224661801</v>
      </c>
      <c r="H14" s="23">
        <f>G14/($K$20+$M$20)</f>
        <v>1.2755997288852385E-3</v>
      </c>
      <c r="I14" s="10">
        <f t="array" ref="I14">SUM(IF(data!A2:A200="41-60 years",IF(data!B2:B200="30-70%",IF(data!C2:C200="Very Severe (&gt;50%)",data!D2:D200,0),0),0))</f>
        <v>376.9149786029069</v>
      </c>
      <c r="J14" s="23">
        <f>I14/($K$20+$M$20)</f>
        <v>2.5553019755096816E-3</v>
      </c>
      <c r="K14" s="11">
        <f>SUM(C14,E14,G14,I14)</f>
        <v>1482.4872935843132</v>
      </c>
      <c r="L14" s="29">
        <f>K14/($K$20+$M$20)</f>
        <v>1.0050549659781497E-2</v>
      </c>
      <c r="M14" s="31">
        <f t="array" ref="M14">SUM(IF(data!A2:A200="41-60 years",IF(data!B2:B200="30-70%",IF(data!C2:C200="No Attack",data!D2:D200,0),0),0))</f>
        <v>1840.7748680226616</v>
      </c>
      <c r="N14" s="25">
        <f>M14/($K$20+$M$20)</f>
        <v>1.2479566808838421E-2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8" customFormat="1">
      <c r="A15" s="41"/>
      <c r="B15" s="9" t="s">
        <v>5</v>
      </c>
      <c r="C15" s="10">
        <f t="array" ref="C15">SUM(IF(data!A2:A200="41-60 years",IF(data!B2:B200="&gt;70%",IF(data!C2:C200="Light (&lt;11%)",data!D2:D200,0),0),0))</f>
        <v>87.33888600087144</v>
      </c>
      <c r="D15" s="23">
        <f>C15/($K$20+$M$20)</f>
        <v>5.9211557143226895E-4</v>
      </c>
      <c r="E15" s="10">
        <f t="array" ref="E15">SUM(IF(data!A2:A200="41-60 years",IF(data!B2:B200="&gt;70%",IF(data!C2:C200="Moderate (11-30%)",data!D2:D200,0),0),0))</f>
        <v>99.379282429749608</v>
      </c>
      <c r="F15" s="23">
        <f>E15/($K$20+$M$20)</f>
        <v>6.7374365873905135E-4</v>
      </c>
      <c r="G15" s="10">
        <f t="array" ref="G15">SUM(IF(data!A2:A200="41-60 years",IF(data!B2:B200="&gt;70%",IF(data!C2:C200="Severe (31-50%)",data!D2:D200,0),0),0))</f>
        <v>50.63070833768893</v>
      </c>
      <c r="H15" s="23">
        <f>G15/($K$20+$M$20)</f>
        <v>3.4325181110155336E-4</v>
      </c>
      <c r="I15" s="10">
        <f t="array" ref="I15">SUM(IF(data!A2:A200="41-60 years",IF(data!B2:B200="&gt;70%",IF(data!C2:C200="Very Severe (&gt;50%)",data!D2:D200,0),0),0))</f>
        <v>185.0065737651824</v>
      </c>
      <c r="J15" s="23">
        <f>I15/($K$20+$M$20)</f>
        <v>1.254255442903224E-3</v>
      </c>
      <c r="K15" s="11">
        <f>SUM(C15,E15,G15,I15)</f>
        <v>422.35545053349239</v>
      </c>
      <c r="L15" s="29">
        <f>K15/($K$20+$M$20)</f>
        <v>2.8633664841760977E-3</v>
      </c>
      <c r="M15" s="31">
        <f t="array" ref="M15">SUM(IF(data!A2:A200="41-60 years",IF(data!B2:B200="&gt;70%",IF(data!C2:C200="No Attack",data!D2:D200,0),0),0))</f>
        <v>1059.2127605376118</v>
      </c>
      <c r="N15" s="25">
        <f>M15/($K$20+$M$20)</f>
        <v>7.1809522389353732E-3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8" customFormat="1" ht="4.05" customHeight="1">
      <c r="A16" s="20"/>
      <c r="B16" s="18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6"/>
      <c r="N16" s="1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8" customFormat="1">
      <c r="A17" s="42" t="s">
        <v>4</v>
      </c>
      <c r="B17" s="9" t="s">
        <v>11</v>
      </c>
      <c r="C17" s="10">
        <f t="array" ref="C17">SUM(IF(data!A2:A200="&gt;60 years",IF(data!B2:B200="30-70%",IF(data!C2:C200="Light (&lt;11%)",data!D2:D200,0),0),0))</f>
        <v>6932.2107687630551</v>
      </c>
      <c r="D17" s="23">
        <f>C17/($K$20+$M$20)</f>
        <v>4.6997049408142325E-2</v>
      </c>
      <c r="E17" s="10">
        <f t="array" ref="E17">SUM(IF(data!A2:A200="&gt;60 years",IF(data!B2:B200="30-70%",IF(data!C2:C200="Moderate (11-30%)",data!D2:D200,0),0),0))</f>
        <v>8081.4585981435748</v>
      </c>
      <c r="F17" s="23">
        <f>E17/($K$20+$M$20)</f>
        <v>5.4788396039288402E-2</v>
      </c>
      <c r="G17" s="10">
        <f t="array" ref="G17">SUM(IF(data!A2:A200="&gt;60 years",IF(data!B2:B200="30-70%",IF(data!C2:C200="Severe (31-50%)",data!D2:D200,0),0),0))</f>
        <v>7214.033196200271</v>
      </c>
      <c r="H17" s="23">
        <f>G17/($K$20+$M$20)</f>
        <v>4.890766969774335E-2</v>
      </c>
      <c r="I17" s="10">
        <f t="array" ref="I17">SUM(IF(data!A2:A200="&gt;60 years",IF(data!B2:B200="30-70%",IF(data!C2:C200="Very Severe (&gt;50%)",data!D2:D200,0),0),0))</f>
        <v>19455.181482679443</v>
      </c>
      <c r="J17" s="23">
        <f>I17/($K$20+$M$20)</f>
        <v>0.13189675788651914</v>
      </c>
      <c r="K17" s="11">
        <f>SUM(C17,E17,G17,I17)</f>
        <v>41682.884045786341</v>
      </c>
      <c r="L17" s="29">
        <f>K17/($K$20+$M$20)</f>
        <v>0.2825898730316932</v>
      </c>
      <c r="M17" s="31">
        <f t="array" ref="M17">SUM(IF(data!A2:A200="&gt;60 years",IF(data!B2:B200="30-70%",IF(data!C2:C200="No Attack",data!D2:D200,0),0),0))</f>
        <v>32802.842962909286</v>
      </c>
      <c r="N17" s="25">
        <f>M17/($K$20+$M$20)</f>
        <v>0.22238747246435245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8" customFormat="1">
      <c r="A18" s="41"/>
      <c r="B18" s="9" t="s">
        <v>5</v>
      </c>
      <c r="C18" s="10">
        <f t="array" ref="C18">SUM(IF(data!A2:A200="&gt;60 years",IF(data!B2:B200="&gt;70%",IF(data!C2:C200="Light (&lt;11%)",data!D2:D200,0),0),0))</f>
        <v>4630.987823206322</v>
      </c>
      <c r="D18" s="23">
        <f>C18/($K$20+$M$20)</f>
        <v>3.1395866455250311E-2</v>
      </c>
      <c r="E18" s="10">
        <f t="array" ref="E18">SUM(IF(data!A2:A200="&gt;60 years",IF(data!B2:B200="&gt;70%",IF(data!C2:C200="Moderate (11-30%)",data!D2:D200,0),0),0))</f>
        <v>5660.583341493726</v>
      </c>
      <c r="F18" s="23">
        <f>E18/($K$20+$M$20)</f>
        <v>3.8376028059885006E-2</v>
      </c>
      <c r="G18" s="10">
        <f t="array" ref="G18">SUM(IF(data!A2:A200="&gt;60 years",IF(data!B2:B200="&gt;70%",IF(data!C2:C200="Severe (31-50%)",data!D2:D200,0),0),0))</f>
        <v>5468.5487980560229</v>
      </c>
      <c r="H18" s="23">
        <f>G18/($K$20+$M$20)</f>
        <v>3.7074126368338171E-2</v>
      </c>
      <c r="I18" s="10">
        <f t="array" ref="I18">SUM(IF(data!A2:A200="&gt;60 years",IF(data!B2:B200="&gt;70%",IF(data!C2:C200="Very Severe (&gt;50%)",data!D2:D200,0),0),0))</f>
        <v>15468.727817519197</v>
      </c>
      <c r="J18" s="23">
        <f>I18/($K$20+$M$20)</f>
        <v>0.10487052251741825</v>
      </c>
      <c r="K18" s="11">
        <f>SUM(C18,E18,G18,I18)</f>
        <v>31228.847780275268</v>
      </c>
      <c r="L18" s="29">
        <f>K18/($K$20+$M$20)</f>
        <v>0.21171654340089174</v>
      </c>
      <c r="M18" s="31">
        <f t="array" ref="M18">SUM(IF(data!A2:A200="&gt;60 years",IF(data!B2:B200="&gt;70%",IF(data!C2:C200="No Attack",data!D2:D200,0),0),0))</f>
        <v>28634.041358014652</v>
      </c>
      <c r="N18" s="25">
        <f>M18/($K$20+$M$20)</f>
        <v>0.19412500591027576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8" customFormat="1" ht="4.05" customHeight="1">
      <c r="A19" s="20"/>
      <c r="B19" s="18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6"/>
      <c r="N19" s="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thickBot="1">
      <c r="A20" s="21" t="s">
        <v>20</v>
      </c>
      <c r="B20" s="22"/>
      <c r="C20" s="27">
        <f>SUM(C11:C18)</f>
        <v>13291.564676779835</v>
      </c>
      <c r="D20" s="26">
        <f>C20/($K$20+$M$20)</f>
        <v>9.0110405275170641E-2</v>
      </c>
      <c r="E20" s="27">
        <f>SUM(E11:E18)</f>
        <v>15067.299795046545</v>
      </c>
      <c r="F20" s="26">
        <f>E20/($K$20+$M$20)</f>
        <v>0.10214903391367137</v>
      </c>
      <c r="G20" s="27">
        <f>SUM(G11:G18)</f>
        <v>13126.130956749199</v>
      </c>
      <c r="H20" s="26">
        <f>G20/($K$20+$M$20)</f>
        <v>8.8988844351332794E-2</v>
      </c>
      <c r="I20" s="27">
        <f>SUM(I11:I18)</f>
        <v>35643.026637202391</v>
      </c>
      <c r="J20" s="26">
        <f>I20/($K$20+$M$20)</f>
        <v>0.2416425495128493</v>
      </c>
      <c r="K20" s="27">
        <f>SUM(K11:K18)</f>
        <v>77128.022065777972</v>
      </c>
      <c r="L20" s="30">
        <f>SUM(L11:L18)</f>
        <v>0.52289083305302408</v>
      </c>
      <c r="M20" s="32">
        <f>SUM(M11:M18)</f>
        <v>70375.084109267074</v>
      </c>
      <c r="N20" s="24">
        <f>SUM(N11:N18)</f>
        <v>0.47710916694697586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3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3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3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3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3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3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3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3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3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3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3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</sheetData>
  <mergeCells count="12">
    <mergeCell ref="A17:A18"/>
    <mergeCell ref="C9:D9"/>
    <mergeCell ref="E9:F9"/>
    <mergeCell ref="G9:H9"/>
    <mergeCell ref="I9:J9"/>
    <mergeCell ref="A8:L8"/>
    <mergeCell ref="M8:N8"/>
    <mergeCell ref="A9:B9"/>
    <mergeCell ref="A11:A12"/>
    <mergeCell ref="A14:A15"/>
    <mergeCell ref="K9:L9"/>
    <mergeCell ref="M9:N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14"/>
  <sheetViews>
    <sheetView topLeftCell="A88" workbookViewId="0">
      <selection activeCell="A114" sqref="A114"/>
    </sheetView>
  </sheetViews>
  <sheetFormatPr defaultColWidth="16.33203125" defaultRowHeight="14.4"/>
  <sheetData>
    <row r="1" spans="1:4">
      <c r="A1" s="50" t="s">
        <v>0</v>
      </c>
      <c r="B1" s="50" t="s">
        <v>1</v>
      </c>
      <c r="C1" s="50" t="s">
        <v>2</v>
      </c>
      <c r="D1" s="50" t="s">
        <v>3</v>
      </c>
    </row>
    <row r="2" spans="1:4">
      <c r="A2" s="51" t="s">
        <v>23</v>
      </c>
      <c r="B2" s="51" t="s">
        <v>5</v>
      </c>
      <c r="C2" s="51" t="s">
        <v>6</v>
      </c>
      <c r="D2" s="52">
        <v>109.24881027389188</v>
      </c>
    </row>
    <row r="3" spans="1:4">
      <c r="A3" s="51" t="s">
        <v>23</v>
      </c>
      <c r="B3" s="51" t="s">
        <v>5</v>
      </c>
      <c r="C3" s="51" t="s">
        <v>6</v>
      </c>
      <c r="D3" s="52">
        <v>593.02661914829093</v>
      </c>
    </row>
    <row r="4" spans="1:4">
      <c r="A4" s="51" t="s">
        <v>23</v>
      </c>
      <c r="B4" s="51" t="s">
        <v>5</v>
      </c>
      <c r="C4" s="51" t="s">
        <v>6</v>
      </c>
      <c r="D4" s="52">
        <v>6.6207192227007949</v>
      </c>
    </row>
    <row r="5" spans="1:4" ht="28.8">
      <c r="A5" s="51" t="s">
        <v>23</v>
      </c>
      <c r="B5" s="51" t="s">
        <v>5</v>
      </c>
      <c r="C5" s="51" t="s">
        <v>7</v>
      </c>
      <c r="D5" s="52">
        <v>77.370910615707174</v>
      </c>
    </row>
    <row r="6" spans="1:4" ht="28.8">
      <c r="A6" s="51" t="s">
        <v>23</v>
      </c>
      <c r="B6" s="51" t="s">
        <v>5</v>
      </c>
      <c r="C6" s="51" t="s">
        <v>7</v>
      </c>
      <c r="D6" s="52">
        <v>196.23478954605829</v>
      </c>
    </row>
    <row r="7" spans="1:4" ht="28.8">
      <c r="A7" s="51" t="s">
        <v>23</v>
      </c>
      <c r="B7" s="51" t="s">
        <v>5</v>
      </c>
      <c r="C7" s="51" t="s">
        <v>7</v>
      </c>
      <c r="D7" s="52">
        <v>1.6119799439954907</v>
      </c>
    </row>
    <row r="8" spans="1:4">
      <c r="A8" s="51" t="s">
        <v>23</v>
      </c>
      <c r="B8" s="51" t="s">
        <v>5</v>
      </c>
      <c r="C8" s="51" t="s">
        <v>8</v>
      </c>
      <c r="D8" s="52">
        <v>2777.6718880619756</v>
      </c>
    </row>
    <row r="9" spans="1:4">
      <c r="A9" s="51" t="s">
        <v>23</v>
      </c>
      <c r="B9" s="51" t="s">
        <v>5</v>
      </c>
      <c r="C9" s="51" t="s">
        <v>8</v>
      </c>
      <c r="D9" s="52">
        <v>89.442520868217485</v>
      </c>
    </row>
    <row r="10" spans="1:4">
      <c r="A10" s="51" t="s">
        <v>23</v>
      </c>
      <c r="B10" s="51" t="s">
        <v>5</v>
      </c>
      <c r="C10" s="51" t="s">
        <v>8</v>
      </c>
      <c r="D10" s="52">
        <v>162.38369928334455</v>
      </c>
    </row>
    <row r="11" spans="1:4">
      <c r="A11" s="51" t="s">
        <v>23</v>
      </c>
      <c r="B11" s="51" t="s">
        <v>5</v>
      </c>
      <c r="C11" s="51" t="s">
        <v>8</v>
      </c>
      <c r="D11" s="52">
        <v>24.906973788691467</v>
      </c>
    </row>
    <row r="12" spans="1:4">
      <c r="A12" s="51" t="s">
        <v>23</v>
      </c>
      <c r="B12" s="51" t="s">
        <v>5</v>
      </c>
      <c r="C12" s="51" t="s">
        <v>9</v>
      </c>
      <c r="D12" s="52">
        <v>51.647736850520417</v>
      </c>
    </row>
    <row r="13" spans="1:4">
      <c r="A13" s="51" t="s">
        <v>23</v>
      </c>
      <c r="B13" s="51" t="s">
        <v>5</v>
      </c>
      <c r="C13" s="51" t="s">
        <v>9</v>
      </c>
      <c r="D13" s="52">
        <v>83.188212411187635</v>
      </c>
    </row>
    <row r="14" spans="1:4" ht="28.8">
      <c r="A14" s="51" t="s">
        <v>23</v>
      </c>
      <c r="B14" s="51" t="s">
        <v>5</v>
      </c>
      <c r="C14" s="51" t="s">
        <v>10</v>
      </c>
      <c r="D14" s="52">
        <v>39.17260427908316</v>
      </c>
    </row>
    <row r="15" spans="1:4" ht="28.8">
      <c r="A15" s="51" t="s">
        <v>23</v>
      </c>
      <c r="B15" s="51" t="s">
        <v>5</v>
      </c>
      <c r="C15" s="51" t="s">
        <v>10</v>
      </c>
      <c r="D15" s="52">
        <v>63.118712423903425</v>
      </c>
    </row>
    <row r="16" spans="1:4">
      <c r="A16" s="51" t="s">
        <v>23</v>
      </c>
      <c r="B16" s="51" t="s">
        <v>11</v>
      </c>
      <c r="C16" s="51" t="s">
        <v>6</v>
      </c>
      <c r="D16" s="52">
        <v>234.12222746343505</v>
      </c>
    </row>
    <row r="17" spans="1:4">
      <c r="A17" s="51" t="s">
        <v>23</v>
      </c>
      <c r="B17" s="51" t="s">
        <v>11</v>
      </c>
      <c r="C17" s="51" t="s">
        <v>6</v>
      </c>
      <c r="D17" s="52">
        <v>814.59239529823196</v>
      </c>
    </row>
    <row r="18" spans="1:4">
      <c r="A18" s="51" t="s">
        <v>23</v>
      </c>
      <c r="B18" s="51" t="s">
        <v>11</v>
      </c>
      <c r="C18" s="51" t="s">
        <v>6</v>
      </c>
      <c r="D18" s="52">
        <v>43.948327413528361</v>
      </c>
    </row>
    <row r="19" spans="1:4" ht="28.8">
      <c r="A19" s="51" t="s">
        <v>23</v>
      </c>
      <c r="B19" s="51" t="s">
        <v>11</v>
      </c>
      <c r="C19" s="51" t="s">
        <v>7</v>
      </c>
      <c r="D19" s="52">
        <v>163.01234016909865</v>
      </c>
    </row>
    <row r="20" spans="1:4" ht="28.8">
      <c r="A20" s="51" t="s">
        <v>23</v>
      </c>
      <c r="B20" s="51" t="s">
        <v>11</v>
      </c>
      <c r="C20" s="51" t="s">
        <v>7</v>
      </c>
      <c r="D20" s="52">
        <v>265.15582939926816</v>
      </c>
    </row>
    <row r="21" spans="1:4" ht="28.8">
      <c r="A21" s="51" t="s">
        <v>23</v>
      </c>
      <c r="B21" s="51" t="s">
        <v>11</v>
      </c>
      <c r="C21" s="51" t="s">
        <v>7</v>
      </c>
      <c r="D21" s="52">
        <v>9.8035407288174881</v>
      </c>
    </row>
    <row r="22" spans="1:4">
      <c r="A22" s="51" t="s">
        <v>23</v>
      </c>
      <c r="B22" s="51" t="s">
        <v>11</v>
      </c>
      <c r="C22" s="51" t="s">
        <v>8</v>
      </c>
      <c r="D22" s="52">
        <v>3122.4976753272986</v>
      </c>
    </row>
    <row r="23" spans="1:4">
      <c r="A23" s="51" t="s">
        <v>23</v>
      </c>
      <c r="B23" s="51" t="s">
        <v>11</v>
      </c>
      <c r="C23" s="51" t="s">
        <v>8</v>
      </c>
      <c r="D23" s="52">
        <v>39.21075488071309</v>
      </c>
    </row>
    <row r="24" spans="1:4">
      <c r="A24" s="51" t="s">
        <v>23</v>
      </c>
      <c r="B24" s="51" t="s">
        <v>11</v>
      </c>
      <c r="C24" s="51" t="s">
        <v>8</v>
      </c>
      <c r="D24" s="52">
        <v>192.8377882246813</v>
      </c>
    </row>
    <row r="25" spans="1:4">
      <c r="A25" s="51" t="s">
        <v>23</v>
      </c>
      <c r="B25" s="51" t="s">
        <v>11</v>
      </c>
      <c r="C25" s="51" t="s">
        <v>8</v>
      </c>
      <c r="D25" s="52">
        <v>95.829654205547982</v>
      </c>
    </row>
    <row r="26" spans="1:4">
      <c r="A26" s="51" t="s">
        <v>23</v>
      </c>
      <c r="B26" s="51" t="s">
        <v>11</v>
      </c>
      <c r="C26" s="51" t="s">
        <v>9</v>
      </c>
      <c r="D26" s="52">
        <v>56.605862485149082</v>
      </c>
    </row>
    <row r="27" spans="1:4">
      <c r="A27" s="51" t="s">
        <v>23</v>
      </c>
      <c r="B27" s="51" t="s">
        <v>11</v>
      </c>
      <c r="C27" s="51" t="s">
        <v>9</v>
      </c>
      <c r="D27" s="52">
        <v>100.44077551851178</v>
      </c>
    </row>
    <row r="28" spans="1:4" ht="28.8">
      <c r="A28" s="51" t="s">
        <v>23</v>
      </c>
      <c r="B28" s="51" t="s">
        <v>11</v>
      </c>
      <c r="C28" s="51" t="s">
        <v>10</v>
      </c>
      <c r="D28" s="52">
        <v>52.086445435928262</v>
      </c>
    </row>
    <row r="29" spans="1:4" ht="28.8">
      <c r="A29" s="51" t="s">
        <v>23</v>
      </c>
      <c r="B29" s="51" t="s">
        <v>11</v>
      </c>
      <c r="C29" s="51" t="s">
        <v>10</v>
      </c>
      <c r="D29" s="52">
        <v>124.20191346137186</v>
      </c>
    </row>
    <row r="30" spans="1:4">
      <c r="A30" s="51" t="s">
        <v>4</v>
      </c>
      <c r="B30" s="51" t="s">
        <v>5</v>
      </c>
      <c r="C30" s="51" t="s">
        <v>6</v>
      </c>
      <c r="D30" s="52">
        <v>922.43811115558867</v>
      </c>
    </row>
    <row r="31" spans="1:4">
      <c r="A31" s="51" t="s">
        <v>4</v>
      </c>
      <c r="B31" s="51" t="s">
        <v>5</v>
      </c>
      <c r="C31" s="51" t="s">
        <v>6</v>
      </c>
      <c r="D31" s="52">
        <v>2840.2940813385721</v>
      </c>
    </row>
    <row r="32" spans="1:4">
      <c r="A32" s="51" t="s">
        <v>4</v>
      </c>
      <c r="B32" s="51" t="s">
        <v>5</v>
      </c>
      <c r="C32" s="51" t="s">
        <v>6</v>
      </c>
      <c r="D32" s="52">
        <v>868.25563071216141</v>
      </c>
    </row>
    <row r="33" spans="1:4" ht="28.8">
      <c r="A33" s="51" t="s">
        <v>4</v>
      </c>
      <c r="B33" s="51" t="s">
        <v>5</v>
      </c>
      <c r="C33" s="51" t="s">
        <v>7</v>
      </c>
      <c r="D33" s="52">
        <v>845.1483490945493</v>
      </c>
    </row>
    <row r="34" spans="1:4" ht="28.8">
      <c r="A34" s="51" t="s">
        <v>4</v>
      </c>
      <c r="B34" s="51" t="s">
        <v>5</v>
      </c>
      <c r="C34" s="51" t="s">
        <v>7</v>
      </c>
      <c r="D34" s="52">
        <v>2856.0827673052158</v>
      </c>
    </row>
    <row r="35" spans="1:4" ht="28.8">
      <c r="A35" s="51" t="s">
        <v>4</v>
      </c>
      <c r="B35" s="51" t="s">
        <v>5</v>
      </c>
      <c r="C35" s="51" t="s">
        <v>7</v>
      </c>
      <c r="D35" s="52">
        <v>1959.3522250939604</v>
      </c>
    </row>
    <row r="36" spans="1:4">
      <c r="A36" s="51" t="s">
        <v>4</v>
      </c>
      <c r="B36" s="51" t="s">
        <v>5</v>
      </c>
      <c r="C36" s="51" t="s">
        <v>8</v>
      </c>
      <c r="D36" s="52">
        <v>28034.778688619717</v>
      </c>
    </row>
    <row r="37" spans="1:4">
      <c r="A37" s="51" t="s">
        <v>4</v>
      </c>
      <c r="B37" s="51" t="s">
        <v>5</v>
      </c>
      <c r="C37" s="51" t="s">
        <v>8</v>
      </c>
      <c r="D37" s="52">
        <v>135.16151906219037</v>
      </c>
    </row>
    <row r="38" spans="1:4">
      <c r="A38" s="51" t="s">
        <v>4</v>
      </c>
      <c r="B38" s="51" t="s">
        <v>5</v>
      </c>
      <c r="C38" s="51" t="s">
        <v>8</v>
      </c>
      <c r="D38" s="52">
        <v>415.23990849566326</v>
      </c>
    </row>
    <row r="39" spans="1:4">
      <c r="A39" s="51" t="s">
        <v>4</v>
      </c>
      <c r="B39" s="51" t="s">
        <v>5</v>
      </c>
      <c r="C39" s="51" t="s">
        <v>8</v>
      </c>
      <c r="D39" s="52">
        <v>48.861241837084862</v>
      </c>
    </row>
    <row r="40" spans="1:4">
      <c r="A40" s="51" t="s">
        <v>4</v>
      </c>
      <c r="B40" s="51" t="s">
        <v>5</v>
      </c>
      <c r="C40" s="51" t="s">
        <v>9</v>
      </c>
      <c r="D40" s="52">
        <v>1337.4790767594843</v>
      </c>
    </row>
    <row r="41" spans="1:4">
      <c r="A41" s="51" t="s">
        <v>4</v>
      </c>
      <c r="B41" s="51" t="s">
        <v>5</v>
      </c>
      <c r="C41" s="51" t="s">
        <v>9</v>
      </c>
      <c r="D41" s="52">
        <v>1930.9828395173145</v>
      </c>
    </row>
    <row r="42" spans="1:4">
      <c r="A42" s="51" t="s">
        <v>4</v>
      </c>
      <c r="B42" s="51" t="s">
        <v>5</v>
      </c>
      <c r="C42" s="51" t="s">
        <v>9</v>
      </c>
      <c r="D42" s="52">
        <v>2200.0868817792243</v>
      </c>
    </row>
    <row r="43" spans="1:4" ht="28.8">
      <c r="A43" s="51" t="s">
        <v>4</v>
      </c>
      <c r="B43" s="51" t="s">
        <v>5</v>
      </c>
      <c r="C43" s="51" t="s">
        <v>10</v>
      </c>
      <c r="D43" s="52">
        <v>6447.9284853222043</v>
      </c>
    </row>
    <row r="44" spans="1:4" ht="28.8">
      <c r="A44" s="51" t="s">
        <v>4</v>
      </c>
      <c r="B44" s="51" t="s">
        <v>5</v>
      </c>
      <c r="C44" s="51" t="s">
        <v>10</v>
      </c>
      <c r="D44" s="52">
        <v>4247.809936507836</v>
      </c>
    </row>
    <row r="45" spans="1:4" ht="28.8">
      <c r="A45" s="51" t="s">
        <v>4</v>
      </c>
      <c r="B45" s="51" t="s">
        <v>5</v>
      </c>
      <c r="C45" s="51" t="s">
        <v>10</v>
      </c>
      <c r="D45" s="52">
        <v>4772.9893956891574</v>
      </c>
    </row>
    <row r="46" spans="1:4">
      <c r="A46" s="51" t="s">
        <v>4</v>
      </c>
      <c r="B46" s="51" t="s">
        <v>11</v>
      </c>
      <c r="C46" s="51" t="s">
        <v>6</v>
      </c>
      <c r="D46" s="52">
        <v>2428.6640595769063</v>
      </c>
    </row>
    <row r="47" spans="1:4">
      <c r="A47" s="51" t="s">
        <v>4</v>
      </c>
      <c r="B47" s="51" t="s">
        <v>11</v>
      </c>
      <c r="C47" s="51" t="s">
        <v>6</v>
      </c>
      <c r="D47" s="52">
        <v>3003.2487940793635</v>
      </c>
    </row>
    <row r="48" spans="1:4">
      <c r="A48" s="51" t="s">
        <v>4</v>
      </c>
      <c r="B48" s="51" t="s">
        <v>11</v>
      </c>
      <c r="C48" s="51" t="s">
        <v>6</v>
      </c>
      <c r="D48" s="52">
        <v>1500.2979151067859</v>
      </c>
    </row>
    <row r="49" spans="1:4" ht="28.8">
      <c r="A49" s="51" t="s">
        <v>4</v>
      </c>
      <c r="B49" s="51" t="s">
        <v>11</v>
      </c>
      <c r="C49" s="51" t="s">
        <v>7</v>
      </c>
      <c r="D49" s="52">
        <v>2274.0437934037786</v>
      </c>
    </row>
    <row r="50" spans="1:4" ht="28.8">
      <c r="A50" s="51" t="s">
        <v>4</v>
      </c>
      <c r="B50" s="51" t="s">
        <v>11</v>
      </c>
      <c r="C50" s="51" t="s">
        <v>7</v>
      </c>
      <c r="D50" s="52">
        <v>3904.9594368024937</v>
      </c>
    </row>
    <row r="51" spans="1:4" ht="28.8">
      <c r="A51" s="51" t="s">
        <v>4</v>
      </c>
      <c r="B51" s="51" t="s">
        <v>11</v>
      </c>
      <c r="C51" s="51" t="s">
        <v>7</v>
      </c>
      <c r="D51" s="52">
        <v>1902.4553679373032</v>
      </c>
    </row>
    <row r="52" spans="1:4">
      <c r="A52" s="51" t="s">
        <v>4</v>
      </c>
      <c r="B52" s="51" t="s">
        <v>11</v>
      </c>
      <c r="C52" s="51" t="s">
        <v>8</v>
      </c>
      <c r="D52" s="52">
        <v>31667.003857460211</v>
      </c>
    </row>
    <row r="53" spans="1:4">
      <c r="A53" s="51" t="s">
        <v>4</v>
      </c>
      <c r="B53" s="51" t="s">
        <v>11</v>
      </c>
      <c r="C53" s="51" t="s">
        <v>8</v>
      </c>
      <c r="D53" s="52">
        <v>311.48106762220658</v>
      </c>
    </row>
    <row r="54" spans="1:4">
      <c r="A54" s="51" t="s">
        <v>4</v>
      </c>
      <c r="B54" s="51" t="s">
        <v>11</v>
      </c>
      <c r="C54" s="51" t="s">
        <v>8</v>
      </c>
      <c r="D54" s="52">
        <v>609.75673724794092</v>
      </c>
    </row>
    <row r="55" spans="1:4">
      <c r="A55" s="51" t="s">
        <v>4</v>
      </c>
      <c r="B55" s="51" t="s">
        <v>11</v>
      </c>
      <c r="C55" s="51" t="s">
        <v>8</v>
      </c>
      <c r="D55" s="52">
        <v>214.60130057892465</v>
      </c>
    </row>
    <row r="56" spans="1:4">
      <c r="A56" s="51" t="s">
        <v>4</v>
      </c>
      <c r="B56" s="51" t="s">
        <v>11</v>
      </c>
      <c r="C56" s="51" t="s">
        <v>9</v>
      </c>
      <c r="D56" s="52">
        <v>2231.2187679086746</v>
      </c>
    </row>
    <row r="57" spans="1:4">
      <c r="A57" s="51" t="s">
        <v>4</v>
      </c>
      <c r="B57" s="51" t="s">
        <v>11</v>
      </c>
      <c r="C57" s="51" t="s">
        <v>9</v>
      </c>
      <c r="D57" s="52">
        <v>2928.6218277088415</v>
      </c>
    </row>
    <row r="58" spans="1:4">
      <c r="A58" s="51" t="s">
        <v>4</v>
      </c>
      <c r="B58" s="51" t="s">
        <v>11</v>
      </c>
      <c r="C58" s="51" t="s">
        <v>9</v>
      </c>
      <c r="D58" s="52">
        <v>2054.1926005827554</v>
      </c>
    </row>
    <row r="59" spans="1:4" ht="28.8">
      <c r="A59" s="51" t="s">
        <v>4</v>
      </c>
      <c r="B59" s="51" t="s">
        <v>11</v>
      </c>
      <c r="C59" s="51" t="s">
        <v>10</v>
      </c>
      <c r="D59" s="52">
        <v>8946.4239963372002</v>
      </c>
    </row>
    <row r="60" spans="1:4" ht="28.8">
      <c r="A60" s="51" t="s">
        <v>4</v>
      </c>
      <c r="B60" s="51" t="s">
        <v>11</v>
      </c>
      <c r="C60" s="51" t="s">
        <v>10</v>
      </c>
      <c r="D60" s="52">
        <v>6282.8816132600214</v>
      </c>
    </row>
    <row r="61" spans="1:4" ht="28.8">
      <c r="A61" s="51" t="s">
        <v>4</v>
      </c>
      <c r="B61" s="51" t="s">
        <v>11</v>
      </c>
      <c r="C61" s="51" t="s">
        <v>10</v>
      </c>
      <c r="D61" s="52">
        <v>4225.8758730822219</v>
      </c>
    </row>
    <row r="62" spans="1:4">
      <c r="A62" s="51" t="s">
        <v>12</v>
      </c>
      <c r="B62" s="51" t="s">
        <v>5</v>
      </c>
      <c r="C62" s="51" t="s">
        <v>6</v>
      </c>
      <c r="D62" s="52">
        <v>20.256589855438047</v>
      </c>
    </row>
    <row r="63" spans="1:4">
      <c r="A63" s="51" t="s">
        <v>12</v>
      </c>
      <c r="B63" s="51" t="s">
        <v>5</v>
      </c>
      <c r="C63" s="51" t="s">
        <v>6</v>
      </c>
      <c r="D63" s="52">
        <v>307.24543529697752</v>
      </c>
    </row>
    <row r="64" spans="1:4">
      <c r="A64" s="51" t="s">
        <v>12</v>
      </c>
      <c r="B64" s="51" t="s">
        <v>5</v>
      </c>
      <c r="C64" s="51" t="s">
        <v>6</v>
      </c>
      <c r="D64" s="52">
        <v>50.676133195649356</v>
      </c>
    </row>
    <row r="65" spans="1:4" ht="28.8">
      <c r="A65" s="51" t="s">
        <v>12</v>
      </c>
      <c r="B65" s="51" t="s">
        <v>5</v>
      </c>
      <c r="C65" s="51" t="s">
        <v>7</v>
      </c>
      <c r="D65" s="52">
        <v>90.201913015228584</v>
      </c>
    </row>
    <row r="66" spans="1:4" ht="28.8">
      <c r="A66" s="51" t="s">
        <v>12</v>
      </c>
      <c r="B66" s="51" t="s">
        <v>5</v>
      </c>
      <c r="C66" s="51" t="s">
        <v>7</v>
      </c>
      <c r="D66" s="52">
        <v>236.40668295534093</v>
      </c>
    </row>
    <row r="67" spans="1:4" ht="28.8">
      <c r="A67" s="51" t="s">
        <v>12</v>
      </c>
      <c r="B67" s="51" t="s">
        <v>5</v>
      </c>
      <c r="C67" s="51" t="s">
        <v>7</v>
      </c>
      <c r="D67" s="52">
        <v>6.213077115558626</v>
      </c>
    </row>
    <row r="68" spans="1:4">
      <c r="A68" s="51" t="s">
        <v>12</v>
      </c>
      <c r="B68" s="51" t="s">
        <v>5</v>
      </c>
      <c r="C68" s="51" t="s">
        <v>8</v>
      </c>
      <c r="D68" s="52">
        <v>2267.6398844254104</v>
      </c>
    </row>
    <row r="69" spans="1:4">
      <c r="A69" s="51" t="s">
        <v>12</v>
      </c>
      <c r="B69" s="51" t="s">
        <v>5</v>
      </c>
      <c r="C69" s="51" t="s">
        <v>8</v>
      </c>
      <c r="D69" s="52">
        <v>255.50556220283266</v>
      </c>
    </row>
    <row r="70" spans="1:4">
      <c r="A70" s="51" t="s">
        <v>12</v>
      </c>
      <c r="B70" s="51" t="s">
        <v>5</v>
      </c>
      <c r="C70" s="51" t="s">
        <v>8</v>
      </c>
      <c r="D70" s="52">
        <v>225.67597763434665</v>
      </c>
    </row>
    <row r="71" spans="1:4">
      <c r="A71" s="51" t="s">
        <v>12</v>
      </c>
      <c r="B71" s="51" t="s">
        <v>5</v>
      </c>
      <c r="C71" s="51" t="s">
        <v>9</v>
      </c>
      <c r="D71" s="52">
        <v>18.117987349311584</v>
      </c>
    </row>
    <row r="72" spans="1:4">
      <c r="A72" s="51" t="s">
        <v>12</v>
      </c>
      <c r="B72" s="51" t="s">
        <v>5</v>
      </c>
      <c r="C72" s="51" t="s">
        <v>9</v>
      </c>
      <c r="D72" s="52">
        <v>46.682045411173235</v>
      </c>
    </row>
    <row r="73" spans="1:4" ht="28.8">
      <c r="A73" s="51" t="s">
        <v>12</v>
      </c>
      <c r="B73" s="51" t="s">
        <v>5</v>
      </c>
      <c r="C73" s="51" t="s">
        <v>10</v>
      </c>
      <c r="D73" s="52">
        <v>13.723129254469061</v>
      </c>
    </row>
    <row r="74" spans="1:4" ht="28.8">
      <c r="A74" s="51" t="s">
        <v>12</v>
      </c>
      <c r="B74" s="51" t="s">
        <v>5</v>
      </c>
      <c r="C74" s="51" t="s">
        <v>10</v>
      </c>
      <c r="D74" s="52">
        <v>36.33651336893837</v>
      </c>
    </row>
    <row r="75" spans="1:4">
      <c r="A75" s="51" t="s">
        <v>12</v>
      </c>
      <c r="B75" s="51" t="s">
        <v>11</v>
      </c>
      <c r="C75" s="51" t="s">
        <v>6</v>
      </c>
      <c r="D75" s="52">
        <v>372.00230413769827</v>
      </c>
    </row>
    <row r="76" spans="1:4">
      <c r="A76" s="51" t="s">
        <v>12</v>
      </c>
      <c r="B76" s="51" t="s">
        <v>11</v>
      </c>
      <c r="C76" s="51" t="s">
        <v>6</v>
      </c>
      <c r="D76" s="52">
        <v>421.72169763570736</v>
      </c>
    </row>
    <row r="77" spans="1:4">
      <c r="A77" s="51" t="s">
        <v>12</v>
      </c>
      <c r="B77" s="51" t="s">
        <v>11</v>
      </c>
      <c r="C77" s="51" t="s">
        <v>6</v>
      </c>
      <c r="D77" s="52">
        <v>21.167570645199319</v>
      </c>
    </row>
    <row r="78" spans="1:4" ht="28.8">
      <c r="A78" s="51" t="s">
        <v>12</v>
      </c>
      <c r="B78" s="51" t="s">
        <v>11</v>
      </c>
      <c r="C78" s="51" t="s">
        <v>7</v>
      </c>
      <c r="D78" s="52">
        <v>230.14310004449783</v>
      </c>
    </row>
    <row r="79" spans="1:4" ht="28.8">
      <c r="A79" s="51" t="s">
        <v>12</v>
      </c>
      <c r="B79" s="51" t="s">
        <v>11</v>
      </c>
      <c r="C79" s="51" t="s">
        <v>7</v>
      </c>
      <c r="D79" s="52">
        <v>172.60795952568807</v>
      </c>
    </row>
    <row r="80" spans="1:4" ht="28.8">
      <c r="A80" s="51" t="s">
        <v>12</v>
      </c>
      <c r="B80" s="51" t="s">
        <v>11</v>
      </c>
      <c r="C80" s="51" t="s">
        <v>7</v>
      </c>
      <c r="D80" s="52">
        <v>20.845915631308248</v>
      </c>
    </row>
    <row r="81" spans="1:4">
      <c r="A81" s="51" t="s">
        <v>12</v>
      </c>
      <c r="B81" s="51" t="s">
        <v>11</v>
      </c>
      <c r="C81" s="51" t="s">
        <v>8</v>
      </c>
      <c r="D81" s="52">
        <v>3219.727652352773</v>
      </c>
    </row>
    <row r="82" spans="1:4">
      <c r="A82" s="51" t="s">
        <v>12</v>
      </c>
      <c r="B82" s="51" t="s">
        <v>11</v>
      </c>
      <c r="C82" s="51" t="s">
        <v>8</v>
      </c>
      <c r="D82" s="52">
        <v>50.151352390575987</v>
      </c>
    </row>
    <row r="83" spans="1:4">
      <c r="A83" s="51" t="s">
        <v>12</v>
      </c>
      <c r="B83" s="51" t="s">
        <v>11</v>
      </c>
      <c r="C83" s="51" t="s">
        <v>8</v>
      </c>
      <c r="D83" s="52">
        <v>19.511730776925187</v>
      </c>
    </row>
    <row r="84" spans="1:4">
      <c r="A84" s="51" t="s">
        <v>12</v>
      </c>
      <c r="B84" s="51" t="s">
        <v>11</v>
      </c>
      <c r="C84" s="51" t="s">
        <v>9</v>
      </c>
      <c r="D84" s="52">
        <v>57.826042490997921</v>
      </c>
    </row>
    <row r="85" spans="1:4">
      <c r="A85" s="51" t="s">
        <v>12</v>
      </c>
      <c r="B85" s="51" t="s">
        <v>11</v>
      </c>
      <c r="C85" s="51" t="s">
        <v>9</v>
      </c>
      <c r="D85" s="52">
        <v>68.841989734320691</v>
      </c>
    </row>
    <row r="86" spans="1:4">
      <c r="A86" s="51" t="s">
        <v>12</v>
      </c>
      <c r="B86" s="51" t="s">
        <v>11</v>
      </c>
      <c r="C86" s="51" t="s">
        <v>9</v>
      </c>
      <c r="D86" s="52">
        <v>13.295266922793953</v>
      </c>
    </row>
    <row r="87" spans="1:4" ht="28.8">
      <c r="A87" s="51" t="s">
        <v>12</v>
      </c>
      <c r="B87" s="51" t="s">
        <v>11</v>
      </c>
      <c r="C87" s="51" t="s">
        <v>10</v>
      </c>
      <c r="D87" s="52">
        <v>50.449754594750871</v>
      </c>
    </row>
    <row r="88" spans="1:4" ht="28.8">
      <c r="A88" s="51" t="s">
        <v>12</v>
      </c>
      <c r="B88" s="51" t="s">
        <v>11</v>
      </c>
      <c r="C88" s="51" t="s">
        <v>10</v>
      </c>
      <c r="D88" s="52">
        <v>56.686387417502246</v>
      </c>
    </row>
    <row r="89" spans="1:4">
      <c r="A89" s="51" t="s">
        <v>13</v>
      </c>
      <c r="B89" s="51" t="s">
        <v>5</v>
      </c>
      <c r="C89" s="51" t="s">
        <v>6</v>
      </c>
      <c r="D89" s="52">
        <v>44.156400954312332</v>
      </c>
    </row>
    <row r="90" spans="1:4">
      <c r="A90" s="51" t="s">
        <v>13</v>
      </c>
      <c r="B90" s="51" t="s">
        <v>5</v>
      </c>
      <c r="C90" s="51" t="s">
        <v>6</v>
      </c>
      <c r="D90" s="52">
        <v>43.182485046559115</v>
      </c>
    </row>
    <row r="91" spans="1:4" ht="28.8">
      <c r="A91" s="51" t="s">
        <v>13</v>
      </c>
      <c r="B91" s="51" t="s">
        <v>5</v>
      </c>
      <c r="C91" s="51" t="s">
        <v>7</v>
      </c>
      <c r="D91" s="52">
        <v>59.641000722352111</v>
      </c>
    </row>
    <row r="92" spans="1:4" ht="28.8">
      <c r="A92" s="51" t="s">
        <v>13</v>
      </c>
      <c r="B92" s="51" t="s">
        <v>5</v>
      </c>
      <c r="C92" s="51" t="s">
        <v>7</v>
      </c>
      <c r="D92" s="52">
        <v>39.738281707397498</v>
      </c>
    </row>
    <row r="93" spans="1:4">
      <c r="A93" s="51" t="s">
        <v>13</v>
      </c>
      <c r="B93" s="51" t="s">
        <v>5</v>
      </c>
      <c r="C93" s="51" t="s">
        <v>8</v>
      </c>
      <c r="D93" s="52">
        <v>1047.1910414687093</v>
      </c>
    </row>
    <row r="94" spans="1:4">
      <c r="A94" s="51" t="s">
        <v>13</v>
      </c>
      <c r="B94" s="51" t="s">
        <v>5</v>
      </c>
      <c r="C94" s="51" t="s">
        <v>8</v>
      </c>
      <c r="D94" s="52">
        <v>5.0185820688750482</v>
      </c>
    </row>
    <row r="95" spans="1:4">
      <c r="A95" s="51" t="s">
        <v>13</v>
      </c>
      <c r="B95" s="51" t="s">
        <v>5</v>
      </c>
      <c r="C95" s="51" t="s">
        <v>8</v>
      </c>
      <c r="D95" s="52">
        <v>7.0031370000274107</v>
      </c>
    </row>
    <row r="96" spans="1:4">
      <c r="A96" s="51" t="s">
        <v>13</v>
      </c>
      <c r="B96" s="51" t="s">
        <v>5</v>
      </c>
      <c r="C96" s="51" t="s">
        <v>9</v>
      </c>
      <c r="D96" s="52">
        <v>17.662840988392652</v>
      </c>
    </row>
    <row r="97" spans="1:4">
      <c r="A97" s="51" t="s">
        <v>13</v>
      </c>
      <c r="B97" s="51" t="s">
        <v>5</v>
      </c>
      <c r="C97" s="51" t="s">
        <v>9</v>
      </c>
      <c r="D97" s="52">
        <v>8.829855728482185</v>
      </c>
    </row>
    <row r="98" spans="1:4">
      <c r="A98" s="51" t="s">
        <v>13</v>
      </c>
      <c r="B98" s="51" t="s">
        <v>5</v>
      </c>
      <c r="C98" s="51" t="s">
        <v>9</v>
      </c>
      <c r="D98" s="52">
        <v>24.138011620814094</v>
      </c>
    </row>
    <row r="99" spans="1:4" ht="28.8">
      <c r="A99" s="51" t="s">
        <v>13</v>
      </c>
      <c r="B99" s="51" t="s">
        <v>5</v>
      </c>
      <c r="C99" s="51" t="s">
        <v>10</v>
      </c>
      <c r="D99" s="52">
        <v>91.738113348288053</v>
      </c>
    </row>
    <row r="100" spans="1:4" ht="28.8">
      <c r="A100" s="51" t="s">
        <v>13</v>
      </c>
      <c r="B100" s="51" t="s">
        <v>5</v>
      </c>
      <c r="C100" s="51" t="s">
        <v>10</v>
      </c>
      <c r="D100" s="52">
        <v>9.9714524007993273</v>
      </c>
    </row>
    <row r="101" spans="1:4" ht="28.8">
      <c r="A101" s="51" t="s">
        <v>13</v>
      </c>
      <c r="B101" s="51" t="s">
        <v>5</v>
      </c>
      <c r="C101" s="51" t="s">
        <v>10</v>
      </c>
      <c r="D101" s="52">
        <v>83.297008016095035</v>
      </c>
    </row>
    <row r="102" spans="1:4">
      <c r="A102" s="51" t="s">
        <v>13</v>
      </c>
      <c r="B102" s="51" t="s">
        <v>11</v>
      </c>
      <c r="C102" s="51" t="s">
        <v>6</v>
      </c>
      <c r="D102" s="52">
        <v>63.332503154595983</v>
      </c>
    </row>
    <row r="103" spans="1:4">
      <c r="A103" s="51" t="s">
        <v>13</v>
      </c>
      <c r="B103" s="51" t="s">
        <v>11</v>
      </c>
      <c r="C103" s="51" t="s">
        <v>6</v>
      </c>
      <c r="D103" s="52">
        <v>358.84034595940716</v>
      </c>
    </row>
    <row r="104" spans="1:4">
      <c r="A104" s="51" t="s">
        <v>13</v>
      </c>
      <c r="B104" s="51" t="s">
        <v>11</v>
      </c>
      <c r="C104" s="51" t="s">
        <v>6</v>
      </c>
      <c r="D104" s="52">
        <v>25.784618928912838</v>
      </c>
    </row>
    <row r="105" spans="1:4" ht="28.8">
      <c r="A105" s="51" t="s">
        <v>13</v>
      </c>
      <c r="B105" s="51" t="s">
        <v>11</v>
      </c>
      <c r="C105" s="51" t="s">
        <v>7</v>
      </c>
      <c r="D105" s="52">
        <v>377.83883340845159</v>
      </c>
    </row>
    <row r="106" spans="1:4" ht="28.8">
      <c r="A106" s="51" t="s">
        <v>13</v>
      </c>
      <c r="B106" s="51" t="s">
        <v>11</v>
      </c>
      <c r="C106" s="51" t="s">
        <v>7</v>
      </c>
      <c r="D106" s="52">
        <v>91.62109128342054</v>
      </c>
    </row>
    <row r="107" spans="1:4">
      <c r="A107" s="51" t="s">
        <v>13</v>
      </c>
      <c r="B107" s="51" t="s">
        <v>11</v>
      </c>
      <c r="C107" s="51" t="s">
        <v>8</v>
      </c>
      <c r="D107" s="52">
        <v>1781.2889788245495</v>
      </c>
    </row>
    <row r="108" spans="1:4">
      <c r="A108" s="51" t="s">
        <v>13</v>
      </c>
      <c r="B108" s="51" t="s">
        <v>11</v>
      </c>
      <c r="C108" s="51" t="s">
        <v>8</v>
      </c>
      <c r="D108" s="52">
        <v>59.485889198112112</v>
      </c>
    </row>
    <row r="109" spans="1:4">
      <c r="A109" s="51" t="s">
        <v>13</v>
      </c>
      <c r="B109" s="51" t="s">
        <v>11</v>
      </c>
      <c r="C109" s="51" t="s">
        <v>9</v>
      </c>
      <c r="D109" s="52">
        <v>94.067892155064598</v>
      </c>
    </row>
    <row r="110" spans="1:4">
      <c r="A110" s="51" t="s">
        <v>13</v>
      </c>
      <c r="B110" s="51" t="s">
        <v>11</v>
      </c>
      <c r="C110" s="51" t="s">
        <v>9</v>
      </c>
      <c r="D110" s="52">
        <v>80.093865630139348</v>
      </c>
    </row>
    <row r="111" spans="1:4">
      <c r="A111" s="51" t="s">
        <v>13</v>
      </c>
      <c r="B111" s="51" t="s">
        <v>11</v>
      </c>
      <c r="C111" s="51" t="s">
        <v>9</v>
      </c>
      <c r="D111" s="52">
        <v>13.993164461414059</v>
      </c>
    </row>
    <row r="112" spans="1:4" ht="28.8">
      <c r="A112" s="51" t="s">
        <v>13</v>
      </c>
      <c r="B112" s="51" t="s">
        <v>11</v>
      </c>
      <c r="C112" s="51" t="s">
        <v>10</v>
      </c>
      <c r="D112" s="52">
        <v>133.95253374153376</v>
      </c>
    </row>
    <row r="113" spans="1:4" ht="28.8">
      <c r="A113" s="51" t="s">
        <v>13</v>
      </c>
      <c r="B113" s="51" t="s">
        <v>11</v>
      </c>
      <c r="C113" s="51" t="s">
        <v>10</v>
      </c>
      <c r="D113" s="52">
        <v>185.18117149360785</v>
      </c>
    </row>
    <row r="114" spans="1:4" ht="28.8">
      <c r="A114" s="51" t="s">
        <v>13</v>
      </c>
      <c r="B114" s="51" t="s">
        <v>11</v>
      </c>
      <c r="C114" s="51" t="s">
        <v>10</v>
      </c>
      <c r="D114" s="52">
        <v>57.781273367765266</v>
      </c>
    </row>
  </sheetData>
  <sortState ref="A2:D96">
    <sortCondition ref="A2:A96"/>
    <sortCondition ref="B2:B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TKL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TouchPad</dc:creator>
  <cp:lastModifiedBy>TouchPad</cp:lastModifiedBy>
  <dcterms:created xsi:type="dcterms:W3CDTF">2012-07-24T18:37:49Z</dcterms:created>
  <dcterms:modified xsi:type="dcterms:W3CDTF">2012-08-15T15:23:19Z</dcterms:modified>
</cp:coreProperties>
</file>